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435" activeTab="0"/>
  </bookViews>
  <sheets>
    <sheet name="Downslope Dosing Calc" sheetId="1" r:id="rId1"/>
    <sheet name="Instructions" sheetId="2" r:id="rId2"/>
  </sheets>
  <definedNames>
    <definedName name="_xlnm.Print_Area" localSheetId="0">'Downslope Dosing Calc'!$B$2:$F$57</definedName>
    <definedName name="_xlnm.Print_Area" localSheetId="1">'Instructions'!$A$1:$F$39</definedName>
  </definedNames>
  <calcPr fullCalcOnLoad="1"/>
</workbook>
</file>

<file path=xl/sharedStrings.xml><?xml version="1.0" encoding="utf-8"?>
<sst xmlns="http://schemas.openxmlformats.org/spreadsheetml/2006/main" count="123" uniqueCount="103">
  <si>
    <t>If Result is between 50 and 100%:  The dose may end before the required squirt height is reached.</t>
  </si>
  <si>
    <t>Solution : Choose a siphon with a higher discharge rate or drawdown, reduce the # of Orifices or Squirt height.</t>
  </si>
  <si>
    <t xml:space="preserve">     larger than the siphon diameter.</t>
  </si>
  <si>
    <t>3.  In general, a siphon with a discharge rate 1.3 or more times the desired design</t>
  </si>
  <si>
    <t xml:space="preserve">     discharge rate is required.</t>
  </si>
  <si>
    <t>Siphon Model</t>
  </si>
  <si>
    <t>CLASS 125</t>
  </si>
  <si>
    <t>N.A.</t>
  </si>
  <si>
    <t>CLASS 160</t>
  </si>
  <si>
    <t>CLASS 200</t>
  </si>
  <si>
    <t>CLASS 315</t>
  </si>
  <si>
    <t>SCHEDULE 40</t>
  </si>
  <si>
    <t>SCHEDULE 80</t>
  </si>
  <si>
    <t>TRANSPORT - I.D.</t>
  </si>
  <si>
    <t>inches</t>
  </si>
  <si>
    <t>gallons</t>
  </si>
  <si>
    <t>seconds</t>
  </si>
  <si>
    <t>Approximate Time For Siphon Discharge:</t>
  </si>
  <si>
    <t>gpm</t>
  </si>
  <si>
    <t>1.  Fall is measured from the bottom of the siphon bell to the lateral elevation.</t>
  </si>
  <si>
    <t>feet</t>
  </si>
  <si>
    <t>gallons/inch</t>
  </si>
  <si>
    <t>(If orifices are orientated upwards and piping</t>
  </si>
  <si>
    <t>Volume of Lateral and Manifold Piping:</t>
  </si>
  <si>
    <t>Calculation:</t>
  </si>
  <si>
    <t>Input:</t>
  </si>
  <si>
    <t>Analyze Result:</t>
  </si>
  <si>
    <t>Dose Percentage should be between 0 and 50 percent.</t>
  </si>
  <si>
    <t>Company:</t>
  </si>
  <si>
    <t>Ph / Fax:</t>
  </si>
  <si>
    <t>Project Name:</t>
  </si>
  <si>
    <t>OSI204</t>
  </si>
  <si>
    <t>OSI208</t>
  </si>
  <si>
    <t>OSI210</t>
  </si>
  <si>
    <t>OSI212</t>
  </si>
  <si>
    <t>OSI214</t>
  </si>
  <si>
    <t>OSI310</t>
  </si>
  <si>
    <t>OSI312</t>
  </si>
  <si>
    <t>OSI314</t>
  </si>
  <si>
    <t>OSI318</t>
  </si>
  <si>
    <t>OSI316</t>
  </si>
  <si>
    <t>OSI320</t>
  </si>
  <si>
    <t>OSI324</t>
  </si>
  <si>
    <t>OSI330</t>
  </si>
  <si>
    <t>OSI336</t>
  </si>
  <si>
    <t>OSI342</t>
  </si>
  <si>
    <t>OSI348</t>
  </si>
  <si>
    <t>OSI412</t>
  </si>
  <si>
    <t>OSI414</t>
  </si>
  <si>
    <t>OSI416</t>
  </si>
  <si>
    <t>OSI418</t>
  </si>
  <si>
    <t>OSI420</t>
  </si>
  <si>
    <t>OSI424</t>
  </si>
  <si>
    <t>OSI430</t>
  </si>
  <si>
    <t>OSI436</t>
  </si>
  <si>
    <t>OSI442</t>
  </si>
  <si>
    <t>OSI448</t>
  </si>
  <si>
    <t>OSI618</t>
  </si>
  <si>
    <t>OSI624</t>
  </si>
  <si>
    <t>OSI630</t>
  </si>
  <si>
    <t>OSI636</t>
  </si>
  <si>
    <t>OSI642</t>
  </si>
  <si>
    <t>OSI648</t>
  </si>
  <si>
    <t>OSI830</t>
  </si>
  <si>
    <t>OSI836</t>
  </si>
  <si>
    <t>OSI842</t>
  </si>
  <si>
    <t>OSI848</t>
  </si>
  <si>
    <t>Transport Line size</t>
  </si>
  <si>
    <t>Avg. Discharge Rate</t>
  </si>
  <si>
    <t>1.3 time avg Discharge Rate</t>
  </si>
  <si>
    <t>Approximate Time Required to Fill Transport</t>
  </si>
  <si>
    <t>will remain full between doses - Enter " 0 ")</t>
  </si>
  <si>
    <t>Prepared by:</t>
  </si>
  <si>
    <t>Dose Volume (gal):</t>
  </si>
  <si>
    <t>Siphon Drawdown (in):</t>
  </si>
  <si>
    <t>Siphon Model:</t>
  </si>
  <si>
    <t>Length of Run (ft):</t>
  </si>
  <si>
    <t>Fall (ft):</t>
  </si>
  <si>
    <t>Number of Orifices:</t>
  </si>
  <si>
    <t>Orifice Diameter (in):</t>
  </si>
  <si>
    <t>Squirt Height (ft):</t>
  </si>
  <si>
    <t>Transport Line Size (in):</t>
  </si>
  <si>
    <t>Pipe Class/Schedule:</t>
  </si>
  <si>
    <t>Dose Chamber Volume Per Inch (gal/in):</t>
  </si>
  <si>
    <t>Approximate Gallons Required to Fill Transport</t>
  </si>
  <si>
    <t>Line to the Required Squirt Height:</t>
  </si>
  <si>
    <t>Siphon Discharge Rate (gpm):</t>
  </si>
  <si>
    <t>Approximate Flow Rate Required to Pressurize System (gpm):</t>
  </si>
  <si>
    <t>Percent of Dose Required to Pressurize the System to the</t>
  </si>
  <si>
    <t>Acceptable Values are 0 - 50%.</t>
  </si>
  <si>
    <t xml:space="preserve">Required Squirt Height  (Dose Volume/Gallons Required): </t>
  </si>
  <si>
    <t>"Error's" or "Caution's" regarding the Inputs and Calculations are listed below.</t>
  </si>
  <si>
    <t>Instructions -Downslope Pressure Dosing</t>
  </si>
  <si>
    <t xml:space="preserve">2.  To ensure two phase flow in the transport line, the transport should be one pipe size </t>
  </si>
  <si>
    <t>Fall -</t>
  </si>
  <si>
    <t>Fall is measured from the bottom of the siphon bell to the lateral elevation.</t>
  </si>
  <si>
    <t>Inputs:</t>
  </si>
  <si>
    <t>Siphon Dosing Calculations</t>
  </si>
  <si>
    <t>%</t>
  </si>
  <si>
    <t>If the Result is a Negative value, the Flow Rate Required exceeds the Siphon discharge rate.</t>
  </si>
  <si>
    <t>Notes:</t>
  </si>
  <si>
    <t>If Result is greater than 100%:  The Flow Rate Required exceeds the Siphon discharge rate.</t>
  </si>
  <si>
    <t>Solution : Choose a siphon with a higher discharge rate or reduce the # of Orifices or Squirt height.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</si>
</sst>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/yy"/>
    <numFmt numFmtId="169" formatCode="mmm\ d"/>
    <numFmt numFmtId="170" formatCode="mmmm\ d\,\ yyyy"/>
    <numFmt numFmtId="171" formatCode="d\ mmmm\ yyyy"/>
    <numFmt numFmtId="172" formatCode="dddd\,\ mmmm\ d\,\ yyyy"/>
    <numFmt numFmtId="173" formatCode="h\:mm\ AM/PM"/>
    <numFmt numFmtId="174" formatCode="hh\:mm\:ss\ AM/PM"/>
    <numFmt numFmtId="175" formatCode="hh\:mm\:ss"/>
    <numFmt numFmtId="176" formatCode="h\:mm"/>
    <numFmt numFmtId="177" formatCode="\$#,##0\ ;\(\$#,##0\)"/>
    <numFmt numFmtId="178" formatCode="\$#,##0\ ;[Red]\(\$#,##0\)"/>
    <numFmt numFmtId="179" formatCode="\$#,##0.00\ ;\(\$#,##0.00\)"/>
    <numFmt numFmtId="180" formatCode="\$#,##0.00\ ;[Red]\(\$#,##0.00\)"/>
    <numFmt numFmtId="181" formatCode="0.0\ &quot;gpm&quot;"/>
    <numFmt numFmtId="182" formatCode="0.0\ &quot;seconds&quot;"/>
    <numFmt numFmtId="183" formatCode="0\ &quot;gpm&quot;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\ &quot;gallons&quot;"/>
    <numFmt numFmtId="190" formatCode="0\ &quot;inches&quot;"/>
    <numFmt numFmtId="191" formatCode="0.0%"/>
  </numFmts>
  <fonts count="65">
    <font>
      <sz val="12"/>
      <color indexed="8"/>
      <name val="Geneva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sz val="12"/>
      <name val="CB Univers 67 CondensedBold"/>
      <family val="0"/>
    </font>
    <font>
      <sz val="10"/>
      <name val="C Univers 57 Condensed"/>
      <family val="0"/>
    </font>
    <font>
      <sz val="12"/>
      <name val="Times New Roman"/>
      <family val="0"/>
    </font>
    <font>
      <sz val="18"/>
      <name val="CB Univers 67 CondensedBold"/>
      <family val="0"/>
    </font>
    <font>
      <sz val="12"/>
      <name val="C Univers 57 Condensed"/>
      <family val="0"/>
    </font>
    <font>
      <sz val="36"/>
      <name val="CB Univers 67 CondensedBold"/>
      <family val="0"/>
    </font>
    <font>
      <sz val="25"/>
      <name val="C Univers 57 Condensed"/>
      <family val="0"/>
    </font>
    <font>
      <sz val="12"/>
      <name val="Times"/>
      <family val="0"/>
    </font>
    <font>
      <sz val="12"/>
      <color indexed="10"/>
      <name val="Times New Roman"/>
      <family val="0"/>
    </font>
    <font>
      <sz val="11"/>
      <name val="C Univers 57 Condensed"/>
      <family val="0"/>
    </font>
    <font>
      <sz val="11"/>
      <color indexed="10"/>
      <name val="Times New Roman"/>
      <family val="0"/>
    </font>
    <font>
      <sz val="11"/>
      <name val="Times New Roman"/>
      <family val="0"/>
    </font>
    <font>
      <sz val="11"/>
      <color indexed="9"/>
      <name val="Times New Roman"/>
      <family val="0"/>
    </font>
    <font>
      <sz val="12"/>
      <color indexed="9"/>
      <name val="C Univers 57 Condensed"/>
      <family val="0"/>
    </font>
    <font>
      <sz val="24"/>
      <name val="CB Univers 67 CondensedBold"/>
      <family val="0"/>
    </font>
    <font>
      <sz val="10"/>
      <color indexed="9"/>
      <name val="C Univers 57 Condensed"/>
      <family val="0"/>
    </font>
    <font>
      <u val="single"/>
      <sz val="12"/>
      <color indexed="12"/>
      <name val="Geneva"/>
      <family val="0"/>
    </font>
    <font>
      <u val="single"/>
      <sz val="12"/>
      <color indexed="61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C Univers 57 Condensed"/>
      <family val="0"/>
    </font>
    <font>
      <sz val="10"/>
      <color indexed="10"/>
      <name val="C Univers 57 Condensed"/>
      <family val="0"/>
    </font>
    <font>
      <b/>
      <sz val="10"/>
      <color indexed="10"/>
      <name val="Geneva"/>
      <family val="0"/>
    </font>
    <font>
      <sz val="11"/>
      <color indexed="9"/>
      <name val="C Univers 57 Condensed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C Univers 57 Condensed"/>
      <family val="0"/>
    </font>
    <font>
      <sz val="10"/>
      <color rgb="FFFF0000"/>
      <name val="C Univers 57 Condensed"/>
      <family val="0"/>
    </font>
    <font>
      <b/>
      <sz val="10"/>
      <color rgb="FFFF0000"/>
      <name val="Geneva"/>
      <family val="0"/>
    </font>
    <font>
      <sz val="11"/>
      <color theme="0"/>
      <name val="C Univers 57 Condensed"/>
      <family val="0"/>
    </font>
    <font>
      <sz val="12"/>
      <color theme="0"/>
      <name val="C Univers 57 Condensed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" fontId="0" fillId="0" borderId="0" applyNumberFormat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3">
    <xf numFmtId="2" fontId="0" fillId="0" borderId="0" xfId="0" applyAlignment="1">
      <alignment horizontal="left"/>
    </xf>
    <xf numFmtId="2" fontId="4" fillId="33" borderId="0" xfId="0" applyFont="1" applyFill="1" applyAlignment="1" applyProtection="1">
      <alignment horizontal="left"/>
      <protection/>
    </xf>
    <xf numFmtId="2" fontId="5" fillId="33" borderId="0" xfId="0" applyFont="1" applyFill="1" applyAlignment="1" applyProtection="1">
      <alignment horizontal="left"/>
      <protection/>
    </xf>
    <xf numFmtId="0" fontId="7" fillId="34" borderId="0" xfId="0" applyNumberFormat="1" applyFont="1" applyFill="1" applyBorder="1" applyAlignment="1" applyProtection="1">
      <alignment horizontal="center"/>
      <protection/>
    </xf>
    <xf numFmtId="2" fontId="8" fillId="33" borderId="0" xfId="0" applyFont="1" applyFill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0" fontId="8" fillId="34" borderId="0" xfId="0" applyNumberFormat="1" applyFont="1" applyFill="1" applyBorder="1" applyAlignment="1" applyProtection="1">
      <alignment/>
      <protection/>
    </xf>
    <xf numFmtId="2" fontId="8" fillId="33" borderId="0" xfId="0" applyFont="1" applyFill="1" applyAlignment="1" applyProtection="1">
      <alignment horizontal="left"/>
      <protection/>
    </xf>
    <xf numFmtId="0" fontId="5" fillId="34" borderId="0" xfId="0" applyNumberFormat="1" applyFont="1" applyFill="1" applyBorder="1" applyAlignment="1" applyProtection="1">
      <alignment/>
      <protection/>
    </xf>
    <xf numFmtId="2" fontId="10" fillId="33" borderId="0" xfId="0" applyFont="1" applyFill="1" applyBorder="1" applyAlignment="1" applyProtection="1">
      <alignment horizontal="center"/>
      <protection/>
    </xf>
    <xf numFmtId="2" fontId="10" fillId="33" borderId="0" xfId="0" applyFont="1" applyFill="1" applyBorder="1" applyAlignment="1" applyProtection="1">
      <alignment horizontal="left"/>
      <protection/>
    </xf>
    <xf numFmtId="2" fontId="10" fillId="33" borderId="10" xfId="0" applyFont="1" applyFill="1" applyBorder="1" applyAlignment="1" applyProtection="1">
      <alignment horizontal="center"/>
      <protection/>
    </xf>
    <xf numFmtId="2" fontId="10" fillId="33" borderId="10" xfId="0" applyFont="1" applyFill="1" applyBorder="1" applyAlignment="1" applyProtection="1">
      <alignment horizontal="left"/>
      <protection/>
    </xf>
    <xf numFmtId="2" fontId="9" fillId="33" borderId="10" xfId="0" applyFont="1" applyFill="1" applyBorder="1" applyAlignment="1" applyProtection="1">
      <alignment horizontal="left"/>
      <protection/>
    </xf>
    <xf numFmtId="0" fontId="11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>
      <alignment horizontal="left"/>
    </xf>
    <xf numFmtId="2" fontId="9" fillId="33" borderId="0" xfId="0" applyFont="1" applyFill="1" applyBorder="1" applyAlignment="1" applyProtection="1">
      <alignment horizontal="left"/>
      <protection/>
    </xf>
    <xf numFmtId="2" fontId="9" fillId="33" borderId="10" xfId="0" applyFont="1" applyFill="1" applyBorder="1" applyAlignment="1" applyProtection="1">
      <alignment/>
      <protection/>
    </xf>
    <xf numFmtId="2" fontId="11" fillId="33" borderId="0" xfId="0" applyFont="1" applyFill="1" applyAlignment="1" applyProtection="1">
      <alignment horizontal="center"/>
      <protection/>
    </xf>
    <xf numFmtId="2" fontId="11" fillId="33" borderId="0" xfId="0" applyFont="1" applyFill="1" applyAlignment="1" applyProtection="1">
      <alignment horizontal="left"/>
      <protection/>
    </xf>
    <xf numFmtId="0" fontId="11" fillId="34" borderId="0" xfId="0" applyNumberFormat="1" applyFont="1" applyFill="1" applyBorder="1" applyAlignment="1" applyProtection="1">
      <alignment horizontal="center"/>
      <protection/>
    </xf>
    <xf numFmtId="0" fontId="12" fillId="34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>
      <alignment vertical="center"/>
    </xf>
    <xf numFmtId="2" fontId="13" fillId="33" borderId="0" xfId="0" applyFont="1" applyFill="1" applyAlignment="1" applyProtection="1">
      <alignment horizontal="left"/>
      <protection/>
    </xf>
    <xf numFmtId="0" fontId="15" fillId="34" borderId="11" xfId="0" applyNumberFormat="1" applyFont="1" applyFill="1" applyBorder="1" applyAlignment="1" applyProtection="1">
      <alignment horizontal="center"/>
      <protection locked="0"/>
    </xf>
    <xf numFmtId="2" fontId="15" fillId="0" borderId="11" xfId="0" applyFont="1" applyBorder="1" applyAlignment="1" applyProtection="1">
      <alignment horizontal="center"/>
      <protection locked="0"/>
    </xf>
    <xf numFmtId="2" fontId="15" fillId="0" borderId="0" xfId="0" applyFont="1" applyBorder="1" applyAlignment="1" applyProtection="1">
      <alignment horizontal="center"/>
      <protection locked="0"/>
    </xf>
    <xf numFmtId="2" fontId="15" fillId="33" borderId="11" xfId="0" applyFont="1" applyFill="1" applyBorder="1" applyAlignment="1" applyProtection="1">
      <alignment horizontal="center"/>
      <protection/>
    </xf>
    <xf numFmtId="2" fontId="16" fillId="33" borderId="0" xfId="0" applyFont="1" applyFill="1" applyBorder="1" applyAlignment="1" applyProtection="1">
      <alignment horizontal="center"/>
      <protection/>
    </xf>
    <xf numFmtId="2" fontId="15" fillId="33" borderId="0" xfId="0" applyFont="1" applyFill="1" applyBorder="1" applyAlignment="1" applyProtection="1">
      <alignment horizontal="center"/>
      <protection/>
    </xf>
    <xf numFmtId="2" fontId="13" fillId="33" borderId="0" xfId="0" applyFont="1" applyFill="1" applyAlignment="1" applyProtection="1">
      <alignment horizontal="center"/>
      <protection/>
    </xf>
    <xf numFmtId="2" fontId="15" fillId="0" borderId="0" xfId="0" applyFont="1" applyBorder="1" applyAlignment="1">
      <alignment horizontal="center"/>
    </xf>
    <xf numFmtId="2" fontId="15" fillId="0" borderId="11" xfId="0" applyFont="1" applyBorder="1" applyAlignment="1">
      <alignment horizontal="center"/>
    </xf>
    <xf numFmtId="2" fontId="15" fillId="33" borderId="0" xfId="0" applyFont="1" applyFill="1" applyAlignment="1" applyProtection="1">
      <alignment horizontal="center"/>
      <protection locked="0"/>
    </xf>
    <xf numFmtId="186" fontId="15" fillId="34" borderId="11" xfId="0" applyNumberFormat="1" applyFont="1" applyFill="1" applyBorder="1" applyAlignment="1" applyProtection="1">
      <alignment horizontal="center"/>
      <protection locked="0"/>
    </xf>
    <xf numFmtId="0" fontId="15" fillId="34" borderId="0" xfId="0" applyNumberFormat="1" applyFont="1" applyFill="1" applyBorder="1" applyAlignment="1" applyProtection="1">
      <alignment/>
      <protection/>
    </xf>
    <xf numFmtId="2" fontId="15" fillId="33" borderId="0" xfId="0" applyFont="1" applyFill="1" applyAlignment="1" applyProtection="1">
      <alignment horizontal="left"/>
      <protection/>
    </xf>
    <xf numFmtId="2" fontId="6" fillId="33" borderId="0" xfId="0" applyFont="1" applyFill="1" applyAlignment="1" applyProtection="1">
      <alignment horizontal="left"/>
      <protection/>
    </xf>
    <xf numFmtId="0" fontId="6" fillId="34" borderId="0" xfId="0" applyNumberFormat="1" applyFont="1" applyFill="1" applyBorder="1" applyAlignment="1" applyProtection="1">
      <alignment vertical="center"/>
      <protection/>
    </xf>
    <xf numFmtId="2" fontId="15" fillId="33" borderId="0" xfId="0" applyFont="1" applyFill="1" applyAlignment="1" applyProtection="1">
      <alignment horizontal="left" vertical="center"/>
      <protection/>
    </xf>
    <xf numFmtId="0" fontId="15" fillId="34" borderId="0" xfId="0" applyNumberFormat="1" applyFont="1" applyFill="1" applyBorder="1" applyAlignment="1" applyProtection="1">
      <alignment vertical="top"/>
      <protection/>
    </xf>
    <xf numFmtId="0" fontId="15" fillId="34" borderId="0" xfId="0" applyNumberFormat="1" applyFont="1" applyFill="1" applyBorder="1" applyAlignment="1" applyProtection="1">
      <alignment horizontal="left" vertical="center"/>
      <protection/>
    </xf>
    <xf numFmtId="2" fontId="14" fillId="33" borderId="0" xfId="0" applyFont="1" applyFill="1" applyAlignment="1" applyProtection="1">
      <alignment vertical="center"/>
      <protection locked="0"/>
    </xf>
    <xf numFmtId="2" fontId="4" fillId="33" borderId="0" xfId="0" applyFont="1" applyFill="1" applyAlignment="1" applyProtection="1">
      <alignment vertical="center"/>
      <protection/>
    </xf>
    <xf numFmtId="2" fontId="8" fillId="33" borderId="0" xfId="0" applyFont="1" applyFill="1" applyAlignment="1" applyProtection="1">
      <alignment vertical="center"/>
      <protection/>
    </xf>
    <xf numFmtId="2" fontId="5" fillId="33" borderId="0" xfId="0" applyFont="1" applyFill="1" applyAlignment="1" applyProtection="1">
      <alignment vertical="center"/>
      <protection/>
    </xf>
    <xf numFmtId="0" fontId="14" fillId="34" borderId="0" xfId="0" applyNumberFormat="1" applyFont="1" applyFill="1" applyBorder="1" applyAlignment="1" applyProtection="1">
      <alignment vertical="center"/>
      <protection/>
    </xf>
    <xf numFmtId="2" fontId="14" fillId="33" borderId="0" xfId="0" applyFont="1" applyFill="1" applyAlignment="1" applyProtection="1">
      <alignment vertical="center"/>
      <protection/>
    </xf>
    <xf numFmtId="2" fontId="16" fillId="33" borderId="0" xfId="0" applyFont="1" applyFill="1" applyAlignment="1" applyProtection="1">
      <alignment horizontal="center"/>
      <protection locked="0"/>
    </xf>
    <xf numFmtId="2" fontId="6" fillId="33" borderId="12" xfId="0" applyFont="1" applyFill="1" applyBorder="1" applyAlignment="1" applyProtection="1">
      <alignment horizontal="left"/>
      <protection/>
    </xf>
    <xf numFmtId="2" fontId="4" fillId="33" borderId="12" xfId="0" applyFont="1" applyFill="1" applyBorder="1" applyAlignment="1" applyProtection="1">
      <alignment horizontal="left"/>
      <protection/>
    </xf>
    <xf numFmtId="2" fontId="8" fillId="33" borderId="12" xfId="0" applyFont="1" applyFill="1" applyBorder="1" applyAlignment="1" applyProtection="1">
      <alignment horizontal="center"/>
      <protection/>
    </xf>
    <xf numFmtId="2" fontId="5" fillId="33" borderId="12" xfId="0" applyFont="1" applyFill="1" applyBorder="1" applyAlignment="1" applyProtection="1">
      <alignment horizontal="left"/>
      <protection/>
    </xf>
    <xf numFmtId="2" fontId="9" fillId="33" borderId="0" xfId="0" applyFont="1" applyFill="1" applyBorder="1" applyAlignment="1" applyProtection="1">
      <alignment/>
      <protection/>
    </xf>
    <xf numFmtId="2" fontId="18" fillId="33" borderId="10" xfId="0" applyFont="1" applyFill="1" applyBorder="1" applyAlignment="1" applyProtection="1">
      <alignment/>
      <protection/>
    </xf>
    <xf numFmtId="2" fontId="19" fillId="33" borderId="0" xfId="0" applyFont="1" applyFill="1" applyAlignment="1" applyProtection="1">
      <alignment horizontal="left"/>
      <protection/>
    </xf>
    <xf numFmtId="0" fontId="17" fillId="34" borderId="0" xfId="0" applyNumberFormat="1" applyFont="1" applyFill="1" applyBorder="1" applyAlignment="1" applyProtection="1">
      <alignment/>
      <protection/>
    </xf>
    <xf numFmtId="0" fontId="17" fillId="34" borderId="0" xfId="0" applyNumberFormat="1" applyFont="1" applyFill="1" applyBorder="1" applyAlignment="1" applyProtection="1">
      <alignment horizontal="center"/>
      <protection/>
    </xf>
    <xf numFmtId="2" fontId="15" fillId="35" borderId="11" xfId="0" applyFont="1" applyFill="1" applyBorder="1" applyAlignment="1">
      <alignment horizontal="center"/>
    </xf>
    <xf numFmtId="2" fontId="60" fillId="33" borderId="0" xfId="0" applyFont="1" applyFill="1" applyAlignment="1" applyProtection="1">
      <alignment horizontal="left"/>
      <protection/>
    </xf>
    <xf numFmtId="2" fontId="61" fillId="33" borderId="0" xfId="0" applyFont="1" applyFill="1" applyAlignment="1" applyProtection="1">
      <alignment horizontal="left"/>
      <protection/>
    </xf>
    <xf numFmtId="0" fontId="60" fillId="34" borderId="0" xfId="0" applyNumberFormat="1" applyFont="1" applyFill="1" applyBorder="1" applyAlignment="1" applyProtection="1">
      <alignment horizontal="center"/>
      <protection/>
    </xf>
    <xf numFmtId="0" fontId="60" fillId="34" borderId="0" xfId="0" applyNumberFormat="1" applyFont="1" applyFill="1" applyBorder="1" applyAlignment="1" applyProtection="1">
      <alignment/>
      <protection/>
    </xf>
    <xf numFmtId="0" fontId="60" fillId="34" borderId="0" xfId="0" applyNumberFormat="1" applyFont="1" applyFill="1" applyBorder="1" applyAlignment="1" applyProtection="1">
      <alignment horizontal="right"/>
      <protection/>
    </xf>
    <xf numFmtId="2" fontId="60" fillId="34" borderId="0" xfId="0" applyNumberFormat="1" applyFont="1" applyFill="1" applyBorder="1" applyAlignment="1" applyProtection="1">
      <alignment/>
      <protection/>
    </xf>
    <xf numFmtId="0" fontId="60" fillId="34" borderId="0" xfId="0" applyNumberFormat="1" applyFont="1" applyFill="1" applyBorder="1" applyAlignment="1" applyProtection="1">
      <alignment horizontal="center" vertical="center"/>
      <protection/>
    </xf>
    <xf numFmtId="0" fontId="61" fillId="34" borderId="0" xfId="0" applyNumberFormat="1" applyFont="1" applyFill="1" applyBorder="1" applyAlignment="1" applyProtection="1">
      <alignment/>
      <protection/>
    </xf>
    <xf numFmtId="10" fontId="62" fillId="35" borderId="0" xfId="57" applyNumberFormat="1" applyFont="1" applyFill="1">
      <alignment/>
      <protection/>
    </xf>
    <xf numFmtId="2" fontId="61" fillId="33" borderId="0" xfId="0" applyFont="1" applyFill="1" applyAlignment="1" applyProtection="1">
      <alignment vertical="center"/>
      <protection/>
    </xf>
    <xf numFmtId="2" fontId="63" fillId="33" borderId="0" xfId="0" applyFont="1" applyFill="1" applyAlignment="1" applyProtection="1">
      <alignment horizontal="left"/>
      <protection/>
    </xf>
    <xf numFmtId="2" fontId="64" fillId="33" borderId="0" xfId="0" applyFont="1" applyFill="1" applyAlignment="1" applyProtection="1">
      <alignment horizontal="center"/>
      <protection/>
    </xf>
    <xf numFmtId="2" fontId="14" fillId="33" borderId="0" xfId="0" applyFont="1" applyFill="1" applyAlignment="1" applyProtection="1">
      <alignment horizontal="left" vertical="justify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83"/>
  <sheetViews>
    <sheetView showGridLines="0" tabSelected="1" showOutlineSymbols="0" defaultGridColor="0" zoomScaleSheetLayoutView="100" zoomScalePageLayoutView="0" colorId="8" workbookViewId="0" topLeftCell="A1">
      <selection activeCell="D25" sqref="D25"/>
    </sheetView>
  </sheetViews>
  <sheetFormatPr defaultColWidth="10.69921875" defaultRowHeight="15"/>
  <cols>
    <col min="1" max="1" width="3.69921875" style="2" customWidth="1"/>
    <col min="2" max="2" width="9.69921875" style="1" customWidth="1"/>
    <col min="3" max="3" width="33.3984375" style="1" customWidth="1"/>
    <col min="4" max="4" width="9.09765625" style="4" customWidth="1"/>
    <col min="5" max="5" width="9.69921875" style="2" customWidth="1"/>
    <col min="6" max="6" width="10.296875" style="2" customWidth="1"/>
    <col min="7" max="7" width="14.796875" style="56" customWidth="1"/>
    <col min="8" max="8" width="10.796875" style="56" customWidth="1"/>
    <col min="9" max="10" width="15.3984375" style="56" customWidth="1"/>
    <col min="11" max="23" width="10.69921875" style="56" customWidth="1"/>
    <col min="24" max="16384" width="10.69921875" style="2" customWidth="1"/>
  </cols>
  <sheetData>
    <row r="1" ht="19.5" customHeight="1"/>
    <row r="2" ht="15" customHeight="1"/>
    <row r="3" ht="15" customHeight="1"/>
    <row r="4" spans="2:5" ht="45" thickBot="1">
      <c r="B4" s="18" t="s">
        <v>97</v>
      </c>
      <c r="C4" s="14"/>
      <c r="D4" s="12"/>
      <c r="E4" s="13"/>
    </row>
    <row r="5" spans="2:5" ht="10.5" customHeight="1" thickTop="1">
      <c r="B5" s="17"/>
      <c r="C5" s="17"/>
      <c r="D5" s="10"/>
      <c r="E5" s="11"/>
    </row>
    <row r="6" spans="2:5" ht="16.5" customHeight="1">
      <c r="B6" s="23" t="s">
        <v>28</v>
      </c>
      <c r="C6" s="39"/>
      <c r="D6" s="15"/>
      <c r="E6" s="20"/>
    </row>
    <row r="7" spans="2:6" ht="16.5" customHeight="1">
      <c r="B7" s="23" t="s">
        <v>29</v>
      </c>
      <c r="C7" s="39"/>
      <c r="D7" s="19"/>
      <c r="E7" s="21"/>
      <c r="F7" s="3"/>
    </row>
    <row r="8" spans="2:6" ht="16.5" customHeight="1">
      <c r="B8" s="23" t="s">
        <v>30</v>
      </c>
      <c r="C8" s="39"/>
      <c r="D8" s="19"/>
      <c r="E8" s="19"/>
      <c r="F8" s="4"/>
    </row>
    <row r="9" spans="2:6" ht="16.5" customHeight="1">
      <c r="B9" s="23" t="s">
        <v>72</v>
      </c>
      <c r="C9" s="39"/>
      <c r="D9" s="19"/>
      <c r="E9" s="19"/>
      <c r="F9" s="4"/>
    </row>
    <row r="10" spans="2:6" ht="9.75" customHeight="1">
      <c r="B10" s="16"/>
      <c r="C10" s="5"/>
      <c r="E10" s="4"/>
      <c r="F10" s="4"/>
    </row>
    <row r="11" spans="2:3" ht="23.25">
      <c r="B11" s="5" t="s">
        <v>25</v>
      </c>
      <c r="C11" s="5"/>
    </row>
    <row r="12" spans="2:8" ht="13.5" customHeight="1">
      <c r="B12" s="36" t="s">
        <v>75</v>
      </c>
      <c r="C12" s="6"/>
      <c r="D12" s="25"/>
      <c r="E12" s="22" t="str">
        <f>IF(ISERROR(VLOOKUP(D12,G25:I60,2,0))=TRUE,"Invalid siphon","")</f>
        <v>Invalid siphon</v>
      </c>
      <c r="F12" s="7"/>
      <c r="G12" s="57"/>
      <c r="H12" s="58"/>
    </row>
    <row r="13" spans="2:23" ht="13.5" customHeight="1">
      <c r="B13" s="36" t="s">
        <v>76</v>
      </c>
      <c r="C13" s="6"/>
      <c r="D13" s="25"/>
      <c r="E13" s="36" t="s">
        <v>20</v>
      </c>
      <c r="F13" s="7"/>
      <c r="H13" s="58"/>
      <c r="I13" s="58">
        <v>0.5</v>
      </c>
      <c r="J13" s="58">
        <v>0.75</v>
      </c>
      <c r="K13" s="58">
        <v>1</v>
      </c>
      <c r="L13" s="58">
        <v>1.25</v>
      </c>
      <c r="M13" s="58">
        <v>1.5</v>
      </c>
      <c r="N13" s="58">
        <v>2</v>
      </c>
      <c r="O13" s="58">
        <v>2.5</v>
      </c>
      <c r="P13" s="58">
        <v>3</v>
      </c>
      <c r="Q13" s="58">
        <v>3.5</v>
      </c>
      <c r="R13" s="58">
        <v>4</v>
      </c>
      <c r="S13" s="58">
        <v>5</v>
      </c>
      <c r="T13" s="58">
        <v>6</v>
      </c>
      <c r="U13" s="58">
        <v>8</v>
      </c>
      <c r="V13" s="58">
        <v>10</v>
      </c>
      <c r="W13" s="58">
        <v>12</v>
      </c>
    </row>
    <row r="14" spans="2:23" ht="13.5" customHeight="1">
      <c r="B14" s="36" t="s">
        <v>77</v>
      </c>
      <c r="C14" s="6"/>
      <c r="D14" s="25"/>
      <c r="E14" s="36" t="s">
        <v>20</v>
      </c>
      <c r="F14" s="7"/>
      <c r="H14" s="58" t="s">
        <v>6</v>
      </c>
      <c r="I14" s="58" t="s">
        <v>7</v>
      </c>
      <c r="J14" s="58" t="s">
        <v>7</v>
      </c>
      <c r="K14" s="58" t="s">
        <v>7</v>
      </c>
      <c r="L14" s="58">
        <v>1.548</v>
      </c>
      <c r="M14" s="58">
        <v>1.784</v>
      </c>
      <c r="N14" s="58">
        <v>2.229</v>
      </c>
      <c r="O14" s="58" t="s">
        <v>7</v>
      </c>
      <c r="P14" s="58">
        <v>3.284</v>
      </c>
      <c r="Q14" s="58">
        <v>3.754</v>
      </c>
      <c r="R14" s="58">
        <v>4.224</v>
      </c>
      <c r="S14" s="58">
        <v>5.221</v>
      </c>
      <c r="T14" s="58">
        <v>6.217</v>
      </c>
      <c r="U14" s="58">
        <v>8.095</v>
      </c>
      <c r="V14" s="58">
        <v>10.088</v>
      </c>
      <c r="W14" s="58">
        <v>11.966</v>
      </c>
    </row>
    <row r="15" spans="2:24" ht="13.5" customHeight="1">
      <c r="B15" s="37"/>
      <c r="D15" s="34"/>
      <c r="E15" s="24"/>
      <c r="F15" s="60"/>
      <c r="G15" s="61"/>
      <c r="H15" s="62" t="s">
        <v>8</v>
      </c>
      <c r="I15" s="62" t="s">
        <v>7</v>
      </c>
      <c r="J15" s="62" t="s">
        <v>7</v>
      </c>
      <c r="K15" s="62" t="s">
        <v>7</v>
      </c>
      <c r="L15" s="62">
        <v>1.532</v>
      </c>
      <c r="M15" s="62">
        <v>1.754</v>
      </c>
      <c r="N15" s="62">
        <v>2.193</v>
      </c>
      <c r="O15" s="62">
        <v>2.655</v>
      </c>
      <c r="P15" s="62">
        <v>3.23</v>
      </c>
      <c r="Q15" s="62">
        <v>3.692</v>
      </c>
      <c r="R15" s="62">
        <v>4.154</v>
      </c>
      <c r="S15" s="62">
        <v>5.135</v>
      </c>
      <c r="T15" s="62">
        <v>6.115</v>
      </c>
      <c r="U15" s="62">
        <v>7.961</v>
      </c>
      <c r="V15" s="62">
        <v>9.924</v>
      </c>
      <c r="W15" s="62">
        <v>11.77</v>
      </c>
      <c r="X15" s="61"/>
    </row>
    <row r="16" spans="2:24" ht="13.5" customHeight="1">
      <c r="B16" s="36" t="s">
        <v>78</v>
      </c>
      <c r="C16" s="6"/>
      <c r="D16" s="25"/>
      <c r="E16" s="36"/>
      <c r="F16" s="63"/>
      <c r="G16" s="61"/>
      <c r="H16" s="62" t="s">
        <v>9</v>
      </c>
      <c r="I16" s="62" t="s">
        <v>7</v>
      </c>
      <c r="J16" s="62">
        <v>0.93</v>
      </c>
      <c r="K16" s="62">
        <v>1.189</v>
      </c>
      <c r="L16" s="62">
        <v>1.502</v>
      </c>
      <c r="M16" s="62">
        <v>1.72</v>
      </c>
      <c r="N16" s="62">
        <v>2.149</v>
      </c>
      <c r="O16" s="62">
        <v>2.601</v>
      </c>
      <c r="P16" s="62">
        <v>3.166</v>
      </c>
      <c r="Q16" s="62">
        <v>3.62</v>
      </c>
      <c r="R16" s="62">
        <v>4.072</v>
      </c>
      <c r="S16" s="62">
        <v>5.033</v>
      </c>
      <c r="T16" s="62">
        <v>5.993</v>
      </c>
      <c r="U16" s="62">
        <v>7.805</v>
      </c>
      <c r="V16" s="62">
        <v>9.728</v>
      </c>
      <c r="W16" s="62">
        <v>11.538</v>
      </c>
      <c r="X16" s="61"/>
    </row>
    <row r="17" spans="2:24" ht="13.5" customHeight="1">
      <c r="B17" s="36" t="s">
        <v>79</v>
      </c>
      <c r="C17" s="6"/>
      <c r="D17" s="35"/>
      <c r="E17" s="36" t="s">
        <v>14</v>
      </c>
      <c r="F17" s="63"/>
      <c r="G17" s="61"/>
      <c r="H17" s="62" t="s">
        <v>10</v>
      </c>
      <c r="I17" s="62">
        <v>0.716</v>
      </c>
      <c r="J17" s="62">
        <v>0.894</v>
      </c>
      <c r="K17" s="62">
        <v>1.121</v>
      </c>
      <c r="L17" s="62">
        <v>1.414</v>
      </c>
      <c r="M17" s="62">
        <v>1.618</v>
      </c>
      <c r="N17" s="62">
        <v>2.023</v>
      </c>
      <c r="O17" s="62">
        <v>2.449</v>
      </c>
      <c r="P17" s="62">
        <v>2.962</v>
      </c>
      <c r="Q17" s="62">
        <v>3.408</v>
      </c>
      <c r="R17" s="62">
        <v>3.834</v>
      </c>
      <c r="S17" s="62">
        <v>4.739</v>
      </c>
      <c r="T17" s="62">
        <v>5.643</v>
      </c>
      <c r="U17" s="62" t="s">
        <v>7</v>
      </c>
      <c r="V17" s="62" t="s">
        <v>7</v>
      </c>
      <c r="W17" s="62" t="s">
        <v>7</v>
      </c>
      <c r="X17" s="61"/>
    </row>
    <row r="18" spans="2:24" ht="13.5" customHeight="1">
      <c r="B18" s="36" t="s">
        <v>80</v>
      </c>
      <c r="C18" s="6"/>
      <c r="D18" s="25"/>
      <c r="E18" s="36" t="s">
        <v>20</v>
      </c>
      <c r="F18" s="63"/>
      <c r="G18" s="61"/>
      <c r="H18" s="62" t="s">
        <v>11</v>
      </c>
      <c r="I18" s="62">
        <v>0.622</v>
      </c>
      <c r="J18" s="62">
        <v>0.824</v>
      </c>
      <c r="K18" s="62">
        <v>1.049</v>
      </c>
      <c r="L18" s="62">
        <v>1.38</v>
      </c>
      <c r="M18" s="62">
        <v>1.61</v>
      </c>
      <c r="N18" s="62">
        <v>2.067</v>
      </c>
      <c r="O18" s="62">
        <v>2.469</v>
      </c>
      <c r="P18" s="62">
        <v>3.068</v>
      </c>
      <c r="Q18" s="62">
        <v>3.548</v>
      </c>
      <c r="R18" s="62">
        <v>4.026</v>
      </c>
      <c r="S18" s="62">
        <v>5.047</v>
      </c>
      <c r="T18" s="62">
        <v>6.065</v>
      </c>
      <c r="U18" s="62">
        <v>7.981</v>
      </c>
      <c r="V18" s="62">
        <v>10.02</v>
      </c>
      <c r="W18" s="62">
        <v>11.938</v>
      </c>
      <c r="X18" s="61"/>
    </row>
    <row r="19" spans="2:24" ht="13.5" customHeight="1">
      <c r="B19" s="37"/>
      <c r="E19" s="24"/>
      <c r="F19" s="60"/>
      <c r="G19" s="61"/>
      <c r="H19" s="62" t="s">
        <v>12</v>
      </c>
      <c r="I19" s="62">
        <v>0.546</v>
      </c>
      <c r="J19" s="62">
        <v>0.742</v>
      </c>
      <c r="K19" s="62">
        <v>0.957</v>
      </c>
      <c r="L19" s="62">
        <v>1.278</v>
      </c>
      <c r="M19" s="62">
        <v>1.5</v>
      </c>
      <c r="N19" s="62">
        <v>1.939</v>
      </c>
      <c r="O19" s="62">
        <v>2.323</v>
      </c>
      <c r="P19" s="62">
        <v>2.9</v>
      </c>
      <c r="Q19" s="62">
        <v>3.364</v>
      </c>
      <c r="R19" s="62">
        <v>3.826</v>
      </c>
      <c r="S19" s="62">
        <v>4.813</v>
      </c>
      <c r="T19" s="62">
        <v>5.761</v>
      </c>
      <c r="U19" s="62">
        <v>7.625</v>
      </c>
      <c r="V19" s="62">
        <v>9.564</v>
      </c>
      <c r="W19" s="62">
        <v>11.376</v>
      </c>
      <c r="X19" s="61"/>
    </row>
    <row r="20" spans="2:24" ht="13.5" customHeight="1">
      <c r="B20" s="36" t="s">
        <v>81</v>
      </c>
      <c r="C20" s="6"/>
      <c r="D20" s="25"/>
      <c r="E20" s="36" t="s">
        <v>14</v>
      </c>
      <c r="F20" s="63"/>
      <c r="G20" s="61"/>
      <c r="H20" s="64" t="s">
        <v>13</v>
      </c>
      <c r="I20" s="62" t="str">
        <f>IF($D20=0.5,IF($D21=315,I17,IF($D21=40,I18,IF($D21=80,I19,"ERROR")))," ")</f>
        <v> </v>
      </c>
      <c r="J20" s="62" t="str">
        <f>IF($D20=0.75,IF($D21=200,J16,IF($D21=315,J17,IF($D21=40,J18,IF($D21=80,J19,"ERROR"))))," ")</f>
        <v> </v>
      </c>
      <c r="K20" s="62" t="str">
        <f>IF($D20=1,IF($D21=200,K16,IF($D21=315,K17,IF($D21=40,K18,IF($D21=80,K19,"ERROR"))))," ")</f>
        <v> </v>
      </c>
      <c r="L20" s="62" t="str">
        <f>IF($D20=1.25,IF($D21=125,L14,IF($D21=160,L15,IF($D21=200,L16,IF($D21=315,L17,IF($D21=40,L18,IF($D21=80,L19,"?"))))))," ")</f>
        <v> </v>
      </c>
      <c r="M20" s="62" t="str">
        <f>IF($D20=1.5,IF($D21=125,M14,IF($D21=160,M15,IF($D21=200,M16,IF($D21=315,M17,IF($D21=40,M18,IF($D21=80,M19,"?"))))))," ")</f>
        <v> </v>
      </c>
      <c r="N20" s="62" t="str">
        <f>IF($D20=2,IF($D21=125,N14,IF($D21=160,N15,IF($D21=200,N16,IF($D21=315,N17,IF($D21=40,N18,IF($D21=80,N19,"?"))))))," ")</f>
        <v> </v>
      </c>
      <c r="O20" s="62" t="str">
        <f>IF($D20=2.5,IF($D21=125,O14,IF($D21=160,O15,IF($D21=200,O16,IF($D21=315,O17,IF($D21=40,O18,IF($D21=80,O19,"?"))))))," ")</f>
        <v> </v>
      </c>
      <c r="P20" s="62" t="str">
        <f>IF($D20=3,IF($D21=125,P14,IF($D21=160,P15,IF($D21=200,P16,IF($D21=315,P17,IF($D21=40,P18,IF($D21=80,P19,"?"))))))," ")</f>
        <v> </v>
      </c>
      <c r="Q20" s="62" t="str">
        <f>IF($D20=3.5,IF($D21=125,Q14,IF($D21=160,Q15,IF($D21=200,Q16,IF($D21=315,Q17,IF($D21=40,Q18,IF($D21=80,Q19,"?"))))))," ")</f>
        <v> </v>
      </c>
      <c r="R20" s="62" t="str">
        <f>IF($D20=4,IF($D21=125,R14,IF($D21=160,R15,IF($D21=200,R16,IF($D21=315,R17,IF($D21=40,R18,IF($D21=80,R19,"?"))))))," ")</f>
        <v> </v>
      </c>
      <c r="S20" s="62" t="str">
        <f>IF($D20=5,IF($D21=125,S14,IF($D21=160,S15,IF($D21=200,S16,IF($D21=315,S17,IF($D21=40,S18,IF($D21=80,S19,"?"))))))," ")</f>
        <v> </v>
      </c>
      <c r="T20" s="62" t="str">
        <f>IF($D20=6,IF($D21=125,T14,IF($D21=160,T15,IF($D21=200,T16,IF($D21=315,T17,IF($D21=40,T18,IF($D21=80,T19,"?"))))))," ")</f>
        <v> </v>
      </c>
      <c r="U20" s="62" t="str">
        <f>IF($D20=8,IF($D21=125,U14,IF($D21=160,U15,IF($D21=200,U16,IF($D21=315,U17,IF($D21=40,U18,IF($D21=80,U19,"?"))))))," ")</f>
        <v> </v>
      </c>
      <c r="V20" s="62" t="str">
        <f>IF($D20=10,IF($D21=125,V14,IF($D21=160,V15,IF($D21=200,V16,IF($D21=315,V17,IF($D21=40,V18,IF($D21=80,V19,"?"))))))," ")</f>
        <v> </v>
      </c>
      <c r="W20" s="62" t="str">
        <f>IF($D20=12,IF($D21=125,W14,IF($D21=160,W15,IF($D21=200,W16,IF($D21=315,W17,IF($D21=40,W18,IF($D21=80,W19,"?"))))))," ")</f>
        <v> </v>
      </c>
      <c r="X20" s="61"/>
    </row>
    <row r="21" spans="2:24" ht="13.5" customHeight="1">
      <c r="B21" s="36" t="s">
        <v>82</v>
      </c>
      <c r="C21" s="6"/>
      <c r="D21" s="25"/>
      <c r="E21" s="49" t="e">
        <f>VLOOKUP(D12,G25:K60,5,TRUE)</f>
        <v>#N/A</v>
      </c>
      <c r="F21" s="63"/>
      <c r="G21" s="61"/>
      <c r="H21" s="65" t="str">
        <f>R20</f>
        <v> 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1"/>
    </row>
    <row r="22" spans="2:24" ht="13.5" customHeight="1">
      <c r="B22" s="37"/>
      <c r="F22" s="60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1"/>
      <c r="W22" s="61"/>
      <c r="X22" s="61"/>
    </row>
    <row r="23" spans="2:24" ht="13.5" customHeight="1">
      <c r="B23" s="37" t="s">
        <v>83</v>
      </c>
      <c r="D23" s="26"/>
      <c r="E23" s="36" t="s">
        <v>21</v>
      </c>
      <c r="F23" s="60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1"/>
      <c r="W23" s="61"/>
      <c r="X23" s="61"/>
    </row>
    <row r="24" spans="2:24" ht="13.5" customHeight="1">
      <c r="B24" s="37"/>
      <c r="D24" s="27"/>
      <c r="F24" s="60"/>
      <c r="G24" s="62" t="s">
        <v>5</v>
      </c>
      <c r="H24" s="62" t="s">
        <v>5</v>
      </c>
      <c r="I24" s="62" t="s">
        <v>68</v>
      </c>
      <c r="J24" s="61" t="s">
        <v>69</v>
      </c>
      <c r="K24" s="62" t="s">
        <v>67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1"/>
      <c r="W24" s="61"/>
      <c r="X24" s="61"/>
    </row>
    <row r="25" spans="2:24" ht="13.5" customHeight="1">
      <c r="B25" s="37" t="s">
        <v>23</v>
      </c>
      <c r="D25" s="28"/>
      <c r="E25" s="36" t="s">
        <v>15</v>
      </c>
      <c r="F25" s="61"/>
      <c r="G25" s="66">
        <v>204</v>
      </c>
      <c r="H25" s="66" t="s">
        <v>31</v>
      </c>
      <c r="I25" s="66">
        <v>30</v>
      </c>
      <c r="J25" s="66">
        <f>I25*1.3</f>
        <v>39</v>
      </c>
      <c r="K25" s="66">
        <v>3</v>
      </c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1"/>
      <c r="W25" s="61"/>
      <c r="X25" s="61"/>
    </row>
    <row r="26" spans="2:24" ht="13.5" customHeight="1">
      <c r="B26" s="37" t="s">
        <v>22</v>
      </c>
      <c r="C26" s="8"/>
      <c r="D26" s="29">
        <f>D25*1.2</f>
        <v>0</v>
      </c>
      <c r="E26" s="8"/>
      <c r="F26" s="60"/>
      <c r="G26" s="66">
        <v>208</v>
      </c>
      <c r="H26" s="66" t="s">
        <v>32</v>
      </c>
      <c r="I26" s="66">
        <v>30</v>
      </c>
      <c r="J26" s="66">
        <f aca="true" t="shared" si="0" ref="J26:J60">I26*1.3</f>
        <v>39</v>
      </c>
      <c r="K26" s="66">
        <v>3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1"/>
      <c r="W26" s="61"/>
      <c r="X26" s="61"/>
    </row>
    <row r="27" spans="2:24" ht="13.5" customHeight="1">
      <c r="B27" s="37" t="s">
        <v>71</v>
      </c>
      <c r="C27" s="8"/>
      <c r="D27" s="36"/>
      <c r="E27" s="8"/>
      <c r="F27" s="60"/>
      <c r="G27" s="66">
        <v>210</v>
      </c>
      <c r="H27" s="66" t="s">
        <v>33</v>
      </c>
      <c r="I27" s="66">
        <v>34</v>
      </c>
      <c r="J27" s="66">
        <f t="shared" si="0"/>
        <v>44.2</v>
      </c>
      <c r="K27" s="66">
        <v>3</v>
      </c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1"/>
      <c r="W27" s="61"/>
      <c r="X27" s="61"/>
    </row>
    <row r="28" spans="2:24" ht="13.5" customHeight="1">
      <c r="B28" s="37"/>
      <c r="C28" s="8"/>
      <c r="D28" s="30"/>
      <c r="E28" s="8"/>
      <c r="F28" s="60"/>
      <c r="G28" s="66">
        <v>212</v>
      </c>
      <c r="H28" s="66" t="s">
        <v>34</v>
      </c>
      <c r="I28" s="66">
        <v>34</v>
      </c>
      <c r="J28" s="66">
        <f t="shared" si="0"/>
        <v>44.2</v>
      </c>
      <c r="K28" s="66">
        <v>3</v>
      </c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1"/>
      <c r="W28" s="61"/>
      <c r="X28" s="61"/>
    </row>
    <row r="29" spans="2:24" ht="23.25">
      <c r="B29" s="5" t="s">
        <v>24</v>
      </c>
      <c r="C29" s="5"/>
      <c r="D29" s="31"/>
      <c r="E29" s="9"/>
      <c r="F29" s="60"/>
      <c r="G29" s="66">
        <v>214</v>
      </c>
      <c r="H29" s="66" t="s">
        <v>35</v>
      </c>
      <c r="I29" s="66">
        <v>38</v>
      </c>
      <c r="J29" s="66">
        <f t="shared" si="0"/>
        <v>49.4</v>
      </c>
      <c r="K29" s="66">
        <v>3</v>
      </c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1"/>
      <c r="W29" s="61"/>
      <c r="X29" s="61"/>
    </row>
    <row r="30" spans="2:24" ht="15.75">
      <c r="B30" s="37" t="s">
        <v>87</v>
      </c>
      <c r="D30" s="33">
        <f>12.38*D16*D17^2*D18^0.5</f>
        <v>0</v>
      </c>
      <c r="E30" s="36" t="s">
        <v>18</v>
      </c>
      <c r="F30" s="67"/>
      <c r="G30" s="66">
        <v>310</v>
      </c>
      <c r="H30" s="66" t="s">
        <v>36</v>
      </c>
      <c r="I30" s="66">
        <v>68</v>
      </c>
      <c r="J30" s="66">
        <f t="shared" si="0"/>
        <v>88.4</v>
      </c>
      <c r="K30" s="66">
        <v>4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13.5" customHeight="1">
      <c r="B31" s="36" t="s">
        <v>86</v>
      </c>
      <c r="C31" s="6"/>
      <c r="D31" s="33" t="e">
        <f>VLOOKUP(D12,G25:K60,3,TRUE)</f>
        <v>#N/A</v>
      </c>
      <c r="E31" s="36" t="s">
        <v>18</v>
      </c>
      <c r="F31" s="63"/>
      <c r="G31" s="66">
        <v>312</v>
      </c>
      <c r="H31" s="66" t="s">
        <v>37</v>
      </c>
      <c r="I31" s="66">
        <v>70</v>
      </c>
      <c r="J31" s="66">
        <f t="shared" si="0"/>
        <v>91</v>
      </c>
      <c r="K31" s="66">
        <v>4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6:24" ht="13.5" customHeight="1">
      <c r="F32" s="63"/>
      <c r="G32" s="66">
        <v>314</v>
      </c>
      <c r="H32" s="66" t="s">
        <v>38</v>
      </c>
      <c r="I32" s="66">
        <v>72</v>
      </c>
      <c r="J32" s="66">
        <f t="shared" si="0"/>
        <v>93.60000000000001</v>
      </c>
      <c r="K32" s="66">
        <v>4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>
      <c r="B33" s="37" t="s">
        <v>74</v>
      </c>
      <c r="D33" s="33">
        <f>D12-FLOOR(D12,100)</f>
        <v>0</v>
      </c>
      <c r="E33" s="36" t="s">
        <v>14</v>
      </c>
      <c r="F33" s="63" t="str">
        <f>IF(ISERROR(VLOOKUP(D12,G25:I60,2,0))=TRUE,"Not a valid siphon model","")</f>
        <v>Not a valid siphon model</v>
      </c>
      <c r="G33" s="66">
        <v>316</v>
      </c>
      <c r="H33" s="66" t="s">
        <v>40</v>
      </c>
      <c r="I33" s="66">
        <v>74</v>
      </c>
      <c r="J33" s="66">
        <f t="shared" si="0"/>
        <v>96.2</v>
      </c>
      <c r="K33" s="66">
        <v>4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>
      <c r="B34" s="37" t="s">
        <v>73</v>
      </c>
      <c r="D34" s="59">
        <f>D23*(D12-FLOOR(D12,100))</f>
        <v>0</v>
      </c>
      <c r="E34" s="36" t="s">
        <v>15</v>
      </c>
      <c r="F34" s="67"/>
      <c r="G34" s="66">
        <v>318</v>
      </c>
      <c r="H34" s="66" t="s">
        <v>39</v>
      </c>
      <c r="I34" s="66">
        <v>76</v>
      </c>
      <c r="J34" s="66">
        <f t="shared" si="0"/>
        <v>98.8</v>
      </c>
      <c r="K34" s="66">
        <v>4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3.5" customHeight="1">
      <c r="B35" s="37"/>
      <c r="D35" s="32"/>
      <c r="E35" s="36"/>
      <c r="F35" s="63"/>
      <c r="G35" s="66">
        <v>320</v>
      </c>
      <c r="H35" s="66" t="s">
        <v>41</v>
      </c>
      <c r="I35" s="66">
        <v>84</v>
      </c>
      <c r="J35" s="66">
        <f t="shared" si="0"/>
        <v>109.2</v>
      </c>
      <c r="K35" s="66">
        <v>4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>
      <c r="B36" s="37" t="s">
        <v>84</v>
      </c>
      <c r="D36" s="70" t="e">
        <f>(D42*D31/60)</f>
        <v>#VALUE!</v>
      </c>
      <c r="E36" s="37"/>
      <c r="F36" s="63"/>
      <c r="G36" s="66">
        <v>324</v>
      </c>
      <c r="H36" s="66" t="s">
        <v>42</v>
      </c>
      <c r="I36" s="66">
        <v>90</v>
      </c>
      <c r="J36" s="66">
        <f t="shared" si="0"/>
        <v>117</v>
      </c>
      <c r="K36" s="66">
        <v>4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2:24" ht="13.5" customHeight="1">
      <c r="B37" s="36" t="s">
        <v>85</v>
      </c>
      <c r="C37" s="6"/>
      <c r="D37" s="59" t="e">
        <f>(D42*D31/60)</f>
        <v>#VALUE!</v>
      </c>
      <c r="E37" s="37" t="s">
        <v>15</v>
      </c>
      <c r="F37" s="63"/>
      <c r="G37" s="66">
        <v>330</v>
      </c>
      <c r="H37" s="66" t="s">
        <v>43</v>
      </c>
      <c r="I37" s="66">
        <v>100</v>
      </c>
      <c r="J37" s="66">
        <f t="shared" si="0"/>
        <v>130</v>
      </c>
      <c r="K37" s="66">
        <v>4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>
      <c r="B38" s="36"/>
      <c r="C38" s="6"/>
      <c r="D38" s="32"/>
      <c r="E38" s="37"/>
      <c r="F38" s="63"/>
      <c r="G38" s="66">
        <v>336</v>
      </c>
      <c r="H38" s="66" t="s">
        <v>44</v>
      </c>
      <c r="I38" s="66">
        <v>110</v>
      </c>
      <c r="J38" s="66">
        <f t="shared" si="0"/>
        <v>143</v>
      </c>
      <c r="K38" s="66">
        <v>4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2:24" ht="15.75">
      <c r="B39" s="40" t="s">
        <v>17</v>
      </c>
      <c r="D39" s="59" t="e">
        <f>(D34/D31)*60</f>
        <v>#N/A</v>
      </c>
      <c r="E39" s="37" t="s">
        <v>16</v>
      </c>
      <c r="F39" s="60"/>
      <c r="G39" s="66">
        <v>342</v>
      </c>
      <c r="H39" s="66" t="s">
        <v>45</v>
      </c>
      <c r="I39" s="66">
        <v>120</v>
      </c>
      <c r="J39" s="66">
        <f t="shared" si="0"/>
        <v>156</v>
      </c>
      <c r="K39" s="66">
        <v>4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ht="15.75">
      <c r="B40" s="40"/>
      <c r="D40" s="32"/>
      <c r="E40" s="37"/>
      <c r="F40" s="60"/>
      <c r="G40" s="66">
        <v>348</v>
      </c>
      <c r="H40" s="66" t="s">
        <v>46</v>
      </c>
      <c r="I40" s="66">
        <v>130</v>
      </c>
      <c r="J40" s="66">
        <f t="shared" si="0"/>
        <v>169</v>
      </c>
      <c r="K40" s="66">
        <v>4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ht="15.75">
      <c r="B41" s="36" t="s">
        <v>70</v>
      </c>
      <c r="C41" s="6"/>
      <c r="D41" s="24"/>
      <c r="E41" s="37"/>
      <c r="F41" s="60"/>
      <c r="G41" s="66">
        <v>412</v>
      </c>
      <c r="H41" s="66" t="s">
        <v>47</v>
      </c>
      <c r="I41" s="66">
        <v>140</v>
      </c>
      <c r="J41" s="66">
        <f t="shared" si="0"/>
        <v>182</v>
      </c>
      <c r="K41" s="66">
        <v>4</v>
      </c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2:24" ht="13.5" customHeight="1">
      <c r="B42" s="41" t="s">
        <v>85</v>
      </c>
      <c r="C42" s="6"/>
      <c r="D42" s="59" t="e">
        <f>IF(D43&gt;0,((14.96*(3.14159*(H21/2)^2)/144*(1+(1/(D14/D13)^2))^0.5)/(12.38*D16*D17^2)^2)*(D31*LN(ABS(D31/(D31-12.38*D16*D17^2*D18^0.5)))-12.38*D16*D17^2*D18^0.5)*60+(D26/D31)*60,"0")</f>
        <v>#VALUE!</v>
      </c>
      <c r="E42" s="37" t="s">
        <v>16</v>
      </c>
      <c r="F42" s="60"/>
      <c r="G42" s="66">
        <v>414</v>
      </c>
      <c r="H42" s="66" t="s">
        <v>48</v>
      </c>
      <c r="I42" s="66">
        <v>144</v>
      </c>
      <c r="J42" s="66">
        <f t="shared" si="0"/>
        <v>187.20000000000002</v>
      </c>
      <c r="K42" s="66">
        <v>4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4:24" ht="13.5" customHeight="1">
      <c r="D43" s="71" t="e">
        <f>((14.96*(3.14159*(H21/2)^2)/144*(1+(1/(D14/D13)^2))^0.5)/(12.38*D16*D17^2)^2)*(D31*LN(ABS(D31/(D31-12.38*D16*D17^2*D18^0.5)))-12.38*D16*D17^2*D18^0.5)*60</f>
        <v>#VALUE!</v>
      </c>
      <c r="F43" s="63"/>
      <c r="G43" s="66">
        <v>416</v>
      </c>
      <c r="H43" s="66" t="s">
        <v>49</v>
      </c>
      <c r="I43" s="66">
        <v>148</v>
      </c>
      <c r="J43" s="66">
        <f t="shared" si="0"/>
        <v>192.4</v>
      </c>
      <c r="K43" s="66">
        <v>4</v>
      </c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2:24" ht="13.5" customHeight="1">
      <c r="B44" s="42" t="s">
        <v>88</v>
      </c>
      <c r="C44" s="5"/>
      <c r="D44" s="24"/>
      <c r="E44" s="38"/>
      <c r="F44" s="60"/>
      <c r="G44" s="66">
        <v>418</v>
      </c>
      <c r="H44" s="66" t="s">
        <v>50</v>
      </c>
      <c r="I44" s="66">
        <v>152</v>
      </c>
      <c r="J44" s="66">
        <f t="shared" si="0"/>
        <v>197.6</v>
      </c>
      <c r="K44" s="66">
        <v>4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2:24" ht="13.5" customHeight="1">
      <c r="B45" s="40" t="s">
        <v>90</v>
      </c>
      <c r="C45" s="6"/>
      <c r="D45" s="28" t="e">
        <f>IF(D37&gt;D34,"ERROR",IF(D31&lt;D30,"ERROR",(D37/D34)*100))</f>
        <v>#VALUE!</v>
      </c>
      <c r="E45" s="38" t="s">
        <v>98</v>
      </c>
      <c r="F45" s="68" t="e">
        <f>(D37/D34)</f>
        <v>#VALUE!</v>
      </c>
      <c r="G45" s="66">
        <v>420</v>
      </c>
      <c r="H45" s="66" t="s">
        <v>51</v>
      </c>
      <c r="I45" s="66">
        <v>156</v>
      </c>
      <c r="J45" s="66">
        <f t="shared" si="0"/>
        <v>202.8</v>
      </c>
      <c r="K45" s="66">
        <v>4</v>
      </c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2:24" ht="13.5" customHeight="1">
      <c r="B46" s="40" t="s">
        <v>89</v>
      </c>
      <c r="F46" s="60"/>
      <c r="G46" s="66">
        <v>424</v>
      </c>
      <c r="H46" s="66" t="s">
        <v>52</v>
      </c>
      <c r="I46" s="66">
        <v>160</v>
      </c>
      <c r="J46" s="66">
        <f t="shared" si="0"/>
        <v>208</v>
      </c>
      <c r="K46" s="66">
        <v>4</v>
      </c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6:24" ht="13.5" customHeight="1">
      <c r="F47" s="60"/>
      <c r="G47" s="66">
        <v>430</v>
      </c>
      <c r="H47" s="66" t="s">
        <v>53</v>
      </c>
      <c r="I47" s="66">
        <v>170</v>
      </c>
      <c r="J47" s="66">
        <f t="shared" si="0"/>
        <v>221</v>
      </c>
      <c r="K47" s="66">
        <v>4</v>
      </c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spans="2:24" ht="23.25">
      <c r="B48" s="5" t="s">
        <v>26</v>
      </c>
      <c r="F48" s="61"/>
      <c r="G48" s="66">
        <v>436</v>
      </c>
      <c r="H48" s="66" t="s">
        <v>54</v>
      </c>
      <c r="I48" s="66">
        <v>185</v>
      </c>
      <c r="J48" s="66">
        <f t="shared" si="0"/>
        <v>240.5</v>
      </c>
      <c r="K48" s="66">
        <v>4</v>
      </c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spans="2:24" ht="15.75">
      <c r="B49" s="50" t="s">
        <v>91</v>
      </c>
      <c r="C49" s="51"/>
      <c r="D49" s="52"/>
      <c r="E49" s="53"/>
      <c r="F49" s="60"/>
      <c r="G49" s="66">
        <v>442</v>
      </c>
      <c r="H49" s="66" t="s">
        <v>55</v>
      </c>
      <c r="I49" s="66">
        <v>205</v>
      </c>
      <c r="J49" s="66">
        <f t="shared" si="0"/>
        <v>266.5</v>
      </c>
      <c r="K49" s="66">
        <v>4</v>
      </c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2:24" ht="13.5" customHeight="1">
      <c r="B50" s="43">
        <f>IF(D18&lt;=D14,"","Error:  The squirt height must be less than or equal to the available fall.")</f>
      </c>
      <c r="C50" s="44"/>
      <c r="D50" s="45"/>
      <c r="E50" s="46"/>
      <c r="F50" s="61"/>
      <c r="G50" s="66">
        <v>448</v>
      </c>
      <c r="H50" s="66" t="s">
        <v>56</v>
      </c>
      <c r="I50" s="66">
        <v>230</v>
      </c>
      <c r="J50" s="66">
        <f t="shared" si="0"/>
        <v>299</v>
      </c>
      <c r="K50" s="66">
        <v>4</v>
      </c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</row>
    <row r="51" spans="2:24" s="46" customFormat="1" ht="15">
      <c r="B51" s="47" t="e">
        <f>IF(D31&lt;=D30*1.3,"Error:  The siphon's discharge rate should be a minimum of 1.3 times the flow rate required to pressurize the system.","")</f>
        <v>#N/A</v>
      </c>
      <c r="C51" s="44"/>
      <c r="D51" s="45"/>
      <c r="F51" s="69"/>
      <c r="G51" s="66">
        <v>618</v>
      </c>
      <c r="H51" s="66" t="s">
        <v>57</v>
      </c>
      <c r="I51" s="66">
        <v>325</v>
      </c>
      <c r="J51" s="66">
        <f t="shared" si="0"/>
        <v>422.5</v>
      </c>
      <c r="K51" s="66">
        <v>6</v>
      </c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2:24" s="46" customFormat="1" ht="15">
      <c r="B52" s="72" t="e">
        <f>IF(D20&lt;E21,"Error:  The transport pipe diameter for 2 inch and 3 inch siphons should be one pipe size larger than the siphon diameter.  For 4,6 &amp; 8 inch siphons the transport size can usually be the same size as the siphon diameter.","")</f>
        <v>#N/A</v>
      </c>
      <c r="C52" s="72"/>
      <c r="D52" s="72"/>
      <c r="E52" s="72"/>
      <c r="F52" s="69"/>
      <c r="G52" s="66">
        <v>624</v>
      </c>
      <c r="H52" s="66" t="s">
        <v>58</v>
      </c>
      <c r="I52" s="66">
        <v>350</v>
      </c>
      <c r="J52" s="66">
        <f t="shared" si="0"/>
        <v>455</v>
      </c>
      <c r="K52" s="66">
        <v>6</v>
      </c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2:24" s="46" customFormat="1" ht="15">
      <c r="B53" s="72"/>
      <c r="C53" s="72"/>
      <c r="D53" s="72"/>
      <c r="E53" s="72"/>
      <c r="F53" s="69"/>
      <c r="G53" s="66">
        <v>630</v>
      </c>
      <c r="H53" s="66" t="s">
        <v>59</v>
      </c>
      <c r="I53" s="66">
        <v>390</v>
      </c>
      <c r="J53" s="66">
        <f t="shared" si="0"/>
        <v>507</v>
      </c>
      <c r="K53" s="66">
        <v>6</v>
      </c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2:24" s="46" customFormat="1" ht="15">
      <c r="B54" s="72"/>
      <c r="C54" s="72"/>
      <c r="D54" s="72"/>
      <c r="E54" s="72"/>
      <c r="F54" s="69"/>
      <c r="G54" s="66">
        <v>636</v>
      </c>
      <c r="H54" s="66" t="s">
        <v>60</v>
      </c>
      <c r="I54" s="66">
        <v>430</v>
      </c>
      <c r="J54" s="66">
        <f t="shared" si="0"/>
        <v>559</v>
      </c>
      <c r="K54" s="66">
        <v>6</v>
      </c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2:24" s="46" customFormat="1" ht="15">
      <c r="B55" s="48" t="e">
        <f>IF(0&gt;=D45,"Error:  The Percent of Dose Required to Pressurize the System must be greater than zero.",IF(D45&gt;=50,"Caution:  The Percent of Dose required to pressurize the system to the required squirt height exceeds 50%.",""))</f>
        <v>#VALUE!</v>
      </c>
      <c r="C55" s="44"/>
      <c r="D55" s="45"/>
      <c r="F55" s="69"/>
      <c r="G55" s="66">
        <v>642</v>
      </c>
      <c r="H55" s="66" t="s">
        <v>61</v>
      </c>
      <c r="I55" s="66">
        <v>440</v>
      </c>
      <c r="J55" s="66">
        <f t="shared" si="0"/>
        <v>572</v>
      </c>
      <c r="K55" s="66">
        <v>6</v>
      </c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2:24" s="46" customFormat="1" ht="15">
      <c r="B56" s="48" t="e">
        <f>IF(D39&lt;D42,"Error:  The Time for Siphon discharge is less than the time needed to pressurize the system.","")</f>
        <v>#N/A</v>
      </c>
      <c r="C56" s="44"/>
      <c r="D56" s="45"/>
      <c r="F56" s="69"/>
      <c r="G56" s="66">
        <v>648</v>
      </c>
      <c r="H56" s="66" t="s">
        <v>62</v>
      </c>
      <c r="I56" s="66">
        <v>465</v>
      </c>
      <c r="J56" s="66">
        <f t="shared" si="0"/>
        <v>604.5</v>
      </c>
      <c r="K56" s="66">
        <v>6</v>
      </c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2:24" s="46" customFormat="1" ht="15">
      <c r="B57" s="44"/>
      <c r="C57" s="44"/>
      <c r="D57" s="45"/>
      <c r="F57" s="69"/>
      <c r="G57" s="66">
        <v>830</v>
      </c>
      <c r="H57" s="66" t="s">
        <v>63</v>
      </c>
      <c r="I57" s="66">
        <v>800</v>
      </c>
      <c r="J57" s="66">
        <f t="shared" si="0"/>
        <v>1040</v>
      </c>
      <c r="K57" s="66">
        <v>8</v>
      </c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2:24" s="46" customFormat="1" ht="15">
      <c r="B58" s="44"/>
      <c r="C58" s="44"/>
      <c r="D58" s="45"/>
      <c r="F58" s="69"/>
      <c r="G58" s="66">
        <v>836</v>
      </c>
      <c r="H58" s="66" t="s">
        <v>64</v>
      </c>
      <c r="I58" s="66">
        <v>850</v>
      </c>
      <c r="J58" s="66">
        <f t="shared" si="0"/>
        <v>1105</v>
      </c>
      <c r="K58" s="66">
        <v>8</v>
      </c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2:24" s="46" customFormat="1" ht="15">
      <c r="B59" s="1"/>
      <c r="C59" s="1"/>
      <c r="D59" s="4"/>
      <c r="E59" s="2"/>
      <c r="F59" s="69"/>
      <c r="G59" s="66">
        <v>842</v>
      </c>
      <c r="H59" s="66" t="s">
        <v>65</v>
      </c>
      <c r="I59" s="66">
        <v>900</v>
      </c>
      <c r="J59" s="66">
        <f t="shared" si="0"/>
        <v>1170</v>
      </c>
      <c r="K59" s="66">
        <v>8</v>
      </c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0" spans="6:24" ht="15">
      <c r="F60" s="61"/>
      <c r="G60" s="66">
        <v>848</v>
      </c>
      <c r="H60" s="66" t="s">
        <v>66</v>
      </c>
      <c r="I60" s="66">
        <v>900</v>
      </c>
      <c r="J60" s="66">
        <f t="shared" si="0"/>
        <v>1170</v>
      </c>
      <c r="K60" s="66">
        <v>8</v>
      </c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6:24" ht="15">
      <c r="F61" s="61"/>
      <c r="G61" s="61"/>
      <c r="H61" s="62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6:24" ht="15">
      <c r="F62" s="61"/>
      <c r="G62" s="6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 spans="6:24" ht="15">
      <c r="F63" s="61"/>
      <c r="G63" s="61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 spans="6:24" ht="15">
      <c r="F64" s="61"/>
      <c r="G64" s="61"/>
      <c r="H64" s="62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 spans="6:24" ht="15">
      <c r="F65" s="61"/>
      <c r="G65" s="61"/>
      <c r="H65" s="62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  <row r="66" spans="6:24" ht="15">
      <c r="F66" s="61"/>
      <c r="G66" s="61"/>
      <c r="H66" s="62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  <row r="67" spans="6:24" ht="15">
      <c r="F67" s="61"/>
      <c r="G67" s="61"/>
      <c r="H67" s="62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  <row r="68" spans="6:24" ht="15">
      <c r="F68" s="61"/>
      <c r="G68" s="61"/>
      <c r="H68" s="62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  <row r="69" spans="6:24" ht="15">
      <c r="F69" s="61"/>
      <c r="G69" s="61"/>
      <c r="H69" s="62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  <row r="70" spans="6:24" ht="15">
      <c r="F70" s="61"/>
      <c r="G70" s="61"/>
      <c r="H70" s="62" t="e">
        <f>#VALUE!</f>
        <v>#VALUE!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  <row r="71" spans="6:24" ht="15">
      <c r="F71" s="61"/>
      <c r="G71" s="61"/>
      <c r="H71" s="62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  <row r="72" spans="4:24" ht="15">
      <c r="D72" s="2"/>
      <c r="F72" s="61"/>
      <c r="G72" s="61"/>
      <c r="H72" s="62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  <row r="73" spans="6:24" ht="15">
      <c r="F73" s="61"/>
      <c r="G73" s="61"/>
      <c r="H73" s="62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 spans="6:24" ht="15">
      <c r="F74" s="61"/>
      <c r="G74" s="61"/>
      <c r="H74" s="62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  <row r="75" spans="6:24" ht="15">
      <c r="F75" s="61"/>
      <c r="G75" s="61"/>
      <c r="H75" s="62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 spans="6:24" ht="15">
      <c r="F76" s="61"/>
      <c r="G76" s="61"/>
      <c r="H76" s="62">
        <f>IF(D12=618,I51,IF(D12=624,I52,IF(D12=630,I53,IF(D12=636,I54,IF(D12=642,I55,IF(D12=648,I56,""))))))</f>
      </c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  <row r="77" spans="6:24" ht="15">
      <c r="F77" s="61"/>
      <c r="G77" s="61"/>
      <c r="H77" s="62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  <row r="78" spans="6:24" ht="15">
      <c r="F78" s="61"/>
      <c r="G78" s="61"/>
      <c r="H78" s="62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  <row r="79" spans="6:24" ht="15">
      <c r="F79" s="61"/>
      <c r="G79" s="61"/>
      <c r="H79" s="62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 spans="6:24" ht="15">
      <c r="F80" s="61"/>
      <c r="G80" s="61"/>
      <c r="H80" s="62">
        <f>IF(D12=830,I57,IF(D12=836,I58,IF(D12=842,I59,IF(D12=848,I60,""))))</f>
      </c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</row>
    <row r="81" spans="4:24" ht="15">
      <c r="D81" s="2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</row>
    <row r="82" spans="6:24" ht="15"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</row>
    <row r="83" spans="6:24" ht="15"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</sheetData>
  <sheetProtection/>
  <mergeCells count="1">
    <mergeCell ref="B52:E54"/>
  </mergeCells>
  <printOptions/>
  <pageMargins left="0.75" right="0.32" top="0.05" bottom="0.25" header="0" footer="0.25"/>
  <pageSetup fitToHeight="1" fitToWidth="1" orientation="portrait" scale="89" r:id="rId1"/>
  <headerFooter alignWithMargins="0">
    <oddFooter>&amp;R&amp;"Univers 67 CondensedBold,Regular"&amp;7NDA-SIPH-HYD-1
Rev.  2   04/25/03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32"/>
  <sheetViews>
    <sheetView zoomScalePageLayoutView="0" workbookViewId="0" topLeftCell="A1">
      <selection activeCell="J24" sqref="J24"/>
    </sheetView>
  </sheetViews>
  <sheetFormatPr defaultColWidth="11.59765625" defaultRowHeight="15"/>
  <cols>
    <col min="1" max="1" width="4.8984375" style="0" customWidth="1"/>
  </cols>
  <sheetData>
    <row r="3" spans="1:7" s="2" customFormat="1" ht="45" thickBot="1">
      <c r="A3" s="55" t="s">
        <v>92</v>
      </c>
      <c r="B3" s="18"/>
      <c r="C3" s="14"/>
      <c r="D3" s="12"/>
      <c r="E3" s="13"/>
      <c r="F3" s="13"/>
      <c r="G3" s="13"/>
    </row>
    <row r="4" spans="1:5" s="2" customFormat="1" ht="13.5" customHeight="1" thickTop="1">
      <c r="A4" s="54"/>
      <c r="B4" s="54"/>
      <c r="C4" s="17"/>
      <c r="D4" s="10"/>
      <c r="E4" s="11"/>
    </row>
    <row r="5" ht="15">
      <c r="A5" s="1" t="s">
        <v>96</v>
      </c>
    </row>
    <row r="6" ht="15">
      <c r="A6" s="1"/>
    </row>
    <row r="7" spans="1:2" ht="15">
      <c r="A7" s="1" t="s">
        <v>94</v>
      </c>
      <c r="B7" t="s">
        <v>95</v>
      </c>
    </row>
    <row r="8" ht="15">
      <c r="A8" s="1"/>
    </row>
    <row r="9" ht="15">
      <c r="A9" s="1"/>
    </row>
    <row r="10" ht="15">
      <c r="A10" s="1"/>
    </row>
    <row r="11" ht="15">
      <c r="A11" s="1" t="s">
        <v>19</v>
      </c>
    </row>
    <row r="12" ht="15">
      <c r="A12" t="s">
        <v>93</v>
      </c>
    </row>
    <row r="13" ht="15">
      <c r="A13" s="1" t="s">
        <v>2</v>
      </c>
    </row>
    <row r="14" ht="15">
      <c r="A14" s="1" t="s">
        <v>3</v>
      </c>
    </row>
    <row r="15" ht="15">
      <c r="A15" s="1" t="s">
        <v>4</v>
      </c>
    </row>
    <row r="21" ht="15">
      <c r="A21" s="1" t="s">
        <v>100</v>
      </c>
    </row>
    <row r="22" ht="15">
      <c r="A22" s="1" t="s">
        <v>27</v>
      </c>
    </row>
    <row r="23" ht="15">
      <c r="A23" s="1"/>
    </row>
    <row r="24" ht="15">
      <c r="A24" s="1" t="s">
        <v>99</v>
      </c>
    </row>
    <row r="25" ht="15">
      <c r="A25" s="1" t="s">
        <v>102</v>
      </c>
    </row>
    <row r="26" ht="15">
      <c r="A26" s="1" t="s">
        <v>101</v>
      </c>
    </row>
    <row r="27" ht="15">
      <c r="A27" s="1" t="s">
        <v>0</v>
      </c>
    </row>
    <row r="28" ht="15">
      <c r="A28" s="1" t="s">
        <v>1</v>
      </c>
    </row>
    <row r="29" ht="15">
      <c r="A29" s="1"/>
    </row>
    <row r="30" ht="15">
      <c r="A30" s="1"/>
    </row>
    <row r="31" ht="15">
      <c r="A31" s="1"/>
    </row>
    <row r="32" ht="15">
      <c r="A32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Bounds</dc:creator>
  <cp:keywords/>
  <dc:description/>
  <cp:lastModifiedBy>Kathryn Carney</cp:lastModifiedBy>
  <cp:lastPrinted>2015-10-19T16:25:14Z</cp:lastPrinted>
  <dcterms:created xsi:type="dcterms:W3CDTF">2004-05-05T00:37:04Z</dcterms:created>
  <dcterms:modified xsi:type="dcterms:W3CDTF">2016-11-22T19:28:46Z</dcterms:modified>
  <cp:category/>
  <cp:version/>
  <cp:contentType/>
  <cp:contentStatus/>
</cp:coreProperties>
</file>